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2035" windowHeight="9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18" i="1"/>
  <c r="J18" i="1"/>
  <c r="I18" i="1"/>
  <c r="H18" i="1"/>
  <c r="G18" i="1"/>
  <c r="F18" i="1"/>
  <c r="K15" i="1"/>
  <c r="J15" i="1"/>
  <c r="I15" i="1"/>
  <c r="H15" i="1"/>
  <c r="G15" i="1"/>
  <c r="F15" i="1"/>
  <c r="K12" i="1"/>
  <c r="J12" i="1"/>
  <c r="I12" i="1"/>
  <c r="H12" i="1"/>
  <c r="G12" i="1"/>
  <c r="F12" i="1"/>
  <c r="K9" i="1"/>
  <c r="J9" i="1"/>
  <c r="I9" i="1"/>
  <c r="H9" i="1"/>
  <c r="G9" i="1"/>
  <c r="F9" i="1"/>
  <c r="K26" i="1" l="1"/>
  <c r="J26" i="1"/>
  <c r="I26" i="1"/>
  <c r="H26" i="1"/>
  <c r="G26" i="1"/>
  <c r="F26" i="1"/>
  <c r="E26" i="1" s="1"/>
  <c r="E23" i="1"/>
  <c r="E20" i="1"/>
  <c r="E17" i="1"/>
  <c r="E14" i="1"/>
  <c r="E11" i="1"/>
  <c r="F19" i="1" l="1"/>
  <c r="J10" i="1"/>
  <c r="I10" i="1"/>
  <c r="F16" i="1"/>
  <c r="I16" i="1"/>
  <c r="J16" i="1"/>
  <c r="H13" i="1"/>
  <c r="F13" i="1"/>
  <c r="I13" i="1"/>
  <c r="K22" i="1"/>
  <c r="K16" i="1"/>
  <c r="J13" i="1"/>
  <c r="F22" i="1"/>
  <c r="H22" i="1"/>
  <c r="J22" i="1"/>
  <c r="G22" i="1"/>
  <c r="I22" i="1"/>
  <c r="I19" i="1"/>
  <c r="J19" i="1"/>
  <c r="G19" i="1"/>
  <c r="K19" i="1"/>
  <c r="H19" i="1"/>
  <c r="H16" i="1"/>
  <c r="G16" i="1"/>
  <c r="G13" i="1"/>
  <c r="K13" i="1"/>
  <c r="G10" i="1"/>
  <c r="K10" i="1"/>
  <c r="F10" i="1"/>
  <c r="H10" i="1"/>
  <c r="E8" i="1"/>
  <c r="E24" i="1" l="1"/>
  <c r="E22" i="1"/>
  <c r="E21" i="1"/>
  <c r="E19" i="1"/>
  <c r="E18" i="1"/>
  <c r="E16" i="1"/>
  <c r="E15" i="1"/>
  <c r="E13" i="1"/>
  <c r="E12" i="1"/>
  <c r="E10" i="1"/>
  <c r="I7" i="1" l="1"/>
  <c r="I27" i="1"/>
  <c r="I25" i="1" s="1"/>
  <c r="J7" i="1"/>
  <c r="J27" i="1"/>
  <c r="J25" i="1" s="1"/>
  <c r="K27" i="1"/>
  <c r="K25" i="1" s="1"/>
  <c r="K7" i="1"/>
  <c r="H7" i="1"/>
  <c r="H27" i="1"/>
  <c r="H25" i="1" s="1"/>
  <c r="F7" i="1"/>
  <c r="E7" i="1" s="1"/>
  <c r="E9" i="1"/>
  <c r="F27" i="1"/>
  <c r="G7" i="1"/>
  <c r="G27" i="1"/>
  <c r="G25" i="1" s="1"/>
  <c r="F25" i="1" l="1"/>
  <c r="E25" i="1" s="1"/>
  <c r="E27" i="1"/>
</calcChain>
</file>

<file path=xl/sharedStrings.xml><?xml version="1.0" encoding="utf-8"?>
<sst xmlns="http://schemas.openxmlformats.org/spreadsheetml/2006/main" count="33" uniqueCount="18">
  <si>
    <t>planowana wysokość spłat przypadająca na poszczególne lata</t>
  </si>
  <si>
    <t>Nazwa wierzyciela</t>
  </si>
  <si>
    <t>Rodzaj zobowiązania/ nr umowy</t>
  </si>
  <si>
    <t>Kredyt/ 05/1210/EBI</t>
  </si>
  <si>
    <t>BGK Warszawa</t>
  </si>
  <si>
    <t xml:space="preserve">z tego: - rata kapitałowa </t>
  </si>
  <si>
    <t>BOŚ Warszawa</t>
  </si>
  <si>
    <t>Kredyt/ 518/08/2010/1102/F/OBR</t>
  </si>
  <si>
    <t>Kredyt/ 2818/07/2011/1102/F/OBR</t>
  </si>
  <si>
    <t>Kredyt/ S/29/08/2012/1157/F/OBR</t>
  </si>
  <si>
    <t>Pożyczka/ 251/05/OW/P</t>
  </si>
  <si>
    <t>WFOŚiGW Warszawa</t>
  </si>
  <si>
    <t>Pożyczka/ 173/006/OW/P</t>
  </si>
  <si>
    <t>Razem</t>
  </si>
  <si>
    <t>Materiały informacyjne o stanie zobowiązań finansowych Gminy Radzanów</t>
  </si>
  <si>
    <t>- odsetki prognozowane</t>
  </si>
  <si>
    <t>(stan  na 31 grudnia 2016 r.)</t>
  </si>
  <si>
    <t>Niespłacone zobowiązania na dzień 31.12.2016r.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</si>
</sst>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10" xfId="0" applyNumberFormat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wrapText="1"/>
    </xf>
    <xf numFmtId="4" fontId="0" fillId="0" borderId="13" xfId="0" applyNumberFormat="1" applyBorder="1"/>
    <xf numFmtId="4" fontId="0" fillId="0" borderId="14" xfId="0" applyNumberFormat="1" applyBorder="1"/>
    <xf numFmtId="49" fontId="0" fillId="0" borderId="13" xfId="0" applyNumberFormat="1" applyBorder="1" applyAlignment="1">
      <alignment wrapText="1"/>
    </xf>
    <xf numFmtId="0" fontId="0" fillId="0" borderId="15" xfId="0" applyBorder="1"/>
    <xf numFmtId="49" fontId="0" fillId="0" borderId="16" xfId="0" applyNumberFormat="1" applyBorder="1" applyAlignment="1">
      <alignment wrapText="1"/>
    </xf>
    <xf numFmtId="4" fontId="0" fillId="0" borderId="16" xfId="0" applyNumberFormat="1" applyBorder="1"/>
    <xf numFmtId="4" fontId="0" fillId="0" borderId="17" xfId="0" applyNumberFormat="1" applyBorder="1"/>
    <xf numFmtId="0" fontId="0" fillId="0" borderId="18" xfId="0" applyBorder="1"/>
    <xf numFmtId="49" fontId="0" fillId="0" borderId="19" xfId="0" applyNumberFormat="1" applyBorder="1" applyAlignment="1">
      <alignment wrapText="1"/>
    </xf>
    <xf numFmtId="4" fontId="0" fillId="0" borderId="19" xfId="0" applyNumberFormat="1" applyBorder="1"/>
    <xf numFmtId="4" fontId="0" fillId="0" borderId="20" xfId="0" applyNumberFormat="1" applyBorder="1"/>
    <xf numFmtId="0" fontId="0" fillId="0" borderId="10" xfId="0" applyBorder="1" applyAlignment="1">
      <alignment wrapText="1"/>
    </xf>
    <xf numFmtId="0" fontId="1" fillId="0" borderId="21" xfId="0" applyFont="1" applyBorder="1"/>
    <xf numFmtId="49" fontId="1" fillId="0" borderId="22" xfId="0" applyNumberFormat="1" applyFont="1" applyBorder="1" applyAlignment="1">
      <alignment wrapText="1"/>
    </xf>
    <xf numFmtId="4" fontId="1" fillId="0" borderId="22" xfId="0" applyNumberFormat="1" applyFont="1" applyBorder="1"/>
    <xf numFmtId="4" fontId="1" fillId="0" borderId="23" xfId="0" applyNumberFormat="1" applyFont="1" applyBorder="1"/>
    <xf numFmtId="49" fontId="0" fillId="0" borderId="10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 applyAlignment="1">
      <alignment wrapText="1"/>
    </xf>
    <xf numFmtId="0" fontId="0" fillId="0" borderId="3" xfId="0" applyBorder="1" applyAlignment="1"/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abSelected="1" topLeftCell="A15" workbookViewId="0">
      <selection activeCell="E29" sqref="E29"/>
    </sheetView>
  </sheetViews>
  <sheetFormatPr defaultRowHeight="15" x14ac:dyDescent="0.25"/>
  <cols>
    <col min="1" max="1" width="2.5703125" customWidth="1"/>
    <col min="2" max="2" width="3.85546875" customWidth="1"/>
    <col min="3" max="3" width="20.140625" customWidth="1"/>
    <col min="4" max="4" width="15.28515625" customWidth="1"/>
    <col min="5" max="5" width="14" customWidth="1"/>
    <col min="6" max="6" width="10.7109375" customWidth="1"/>
    <col min="7" max="7" width="11.85546875" customWidth="1"/>
    <col min="8" max="8" width="11.28515625" customWidth="1"/>
    <col min="9" max="9" width="10.42578125" customWidth="1"/>
    <col min="10" max="10" width="10.85546875" customWidth="1"/>
    <col min="11" max="11" width="11.42578125" customWidth="1"/>
  </cols>
  <sheetData>
    <row r="1" spans="2:11" ht="30" customHeight="1" x14ac:dyDescent="0.25">
      <c r="H1" s="33"/>
      <c r="I1" s="33"/>
      <c r="J1" s="33"/>
      <c r="K1" s="33"/>
    </row>
    <row r="2" spans="2:11" ht="15" customHeight="1" x14ac:dyDescent="0.25">
      <c r="D2" s="38" t="s">
        <v>14</v>
      </c>
      <c r="E2" s="38"/>
      <c r="F2" s="38"/>
      <c r="G2" s="38"/>
      <c r="H2" s="38"/>
      <c r="I2" s="38"/>
    </row>
    <row r="3" spans="2:11" x14ac:dyDescent="0.25">
      <c r="E3" s="33" t="s">
        <v>16</v>
      </c>
      <c r="F3" s="33"/>
      <c r="G3" s="33"/>
      <c r="H3" s="33"/>
      <c r="I3" s="33"/>
    </row>
    <row r="4" spans="2:11" ht="15.75" thickBot="1" x14ac:dyDescent="0.3"/>
    <row r="5" spans="2:11" ht="15.75" thickTop="1" x14ac:dyDescent="0.25">
      <c r="B5" s="5"/>
      <c r="C5" s="29" t="s">
        <v>2</v>
      </c>
      <c r="D5" s="31" t="s">
        <v>1</v>
      </c>
      <c r="E5" s="36" t="s">
        <v>17</v>
      </c>
      <c r="F5" s="34" t="s">
        <v>0</v>
      </c>
      <c r="G5" s="34"/>
      <c r="H5" s="34"/>
      <c r="I5" s="34"/>
      <c r="J5" s="34"/>
      <c r="K5" s="35"/>
    </row>
    <row r="6" spans="2:11" ht="42.75" customHeight="1" thickBot="1" x14ac:dyDescent="0.3">
      <c r="B6" s="6"/>
      <c r="C6" s="30"/>
      <c r="D6" s="32"/>
      <c r="E6" s="37"/>
      <c r="F6" s="3">
        <v>2017</v>
      </c>
      <c r="G6" s="3">
        <v>2018</v>
      </c>
      <c r="H6" s="3">
        <v>2019</v>
      </c>
      <c r="I6" s="3">
        <v>2020</v>
      </c>
      <c r="J6" s="3">
        <v>2021</v>
      </c>
      <c r="K6" s="4">
        <v>2022</v>
      </c>
    </row>
    <row r="7" spans="2:11" ht="34.5" customHeight="1" thickTop="1" x14ac:dyDescent="0.25">
      <c r="B7" s="7">
        <v>1</v>
      </c>
      <c r="C7" s="23" t="s">
        <v>3</v>
      </c>
      <c r="D7" s="23" t="s">
        <v>4</v>
      </c>
      <c r="E7" s="8">
        <f>SUM(F7:K7)</f>
        <v>202965.64249600001</v>
      </c>
      <c r="F7" s="8">
        <f t="shared" ref="F7:K7" si="0">SUM(F8:F9)</f>
        <v>46479.362880000001</v>
      </c>
      <c r="G7" s="8">
        <f t="shared" si="0"/>
        <v>45472.589759999995</v>
      </c>
      <c r="H7" s="8">
        <f t="shared" si="0"/>
        <v>45824.960735999994</v>
      </c>
      <c r="I7" s="8">
        <f t="shared" si="0"/>
        <v>43459.043519999999</v>
      </c>
      <c r="J7" s="8">
        <f t="shared" si="0"/>
        <v>21729.685599999997</v>
      </c>
      <c r="K7" s="9">
        <f t="shared" si="0"/>
        <v>-5.820766091346741E-15</v>
      </c>
    </row>
    <row r="8" spans="2:11" ht="30" x14ac:dyDescent="0.25">
      <c r="B8" s="10"/>
      <c r="C8" s="11" t="s">
        <v>5</v>
      </c>
      <c r="D8" s="11"/>
      <c r="E8" s="12">
        <f>SUM(F8:K8)</f>
        <v>188770.12</v>
      </c>
      <c r="F8" s="12">
        <v>41948.88</v>
      </c>
      <c r="G8" s="12">
        <v>41948.88</v>
      </c>
      <c r="H8" s="12">
        <v>41948.88</v>
      </c>
      <c r="I8" s="12">
        <v>41948.88</v>
      </c>
      <c r="J8" s="12">
        <v>20974.6</v>
      </c>
      <c r="K8" s="13">
        <v>0</v>
      </c>
    </row>
    <row r="9" spans="2:11" ht="30" x14ac:dyDescent="0.25">
      <c r="B9" s="10"/>
      <c r="C9" s="14" t="s">
        <v>15</v>
      </c>
      <c r="D9" s="14"/>
      <c r="E9" s="12">
        <f>SUM(F9:K9)</f>
        <v>14195.522496</v>
      </c>
      <c r="F9" s="12">
        <f>E8*0.2%*12</f>
        <v>4530.4828799999996</v>
      </c>
      <c r="G9" s="12">
        <f>(E8-F8)*0.2%*12</f>
        <v>3523.7097599999997</v>
      </c>
      <c r="H9" s="12">
        <f>(E8-G8)*0.22%*12</f>
        <v>3876.0807359999999</v>
      </c>
      <c r="I9" s="12">
        <f>(E8-F8-G8-H8)*0.2%*12</f>
        <v>1510.1635199999998</v>
      </c>
      <c r="J9" s="12">
        <f>(E8-F8-G8-H8-I8)*0.3%*12</f>
        <v>755.08559999999977</v>
      </c>
      <c r="K9" s="13">
        <f>(E8-F8-G8-H8-I8-J8)*0.08%</f>
        <v>-5.820766091346741E-15</v>
      </c>
    </row>
    <row r="10" spans="2:11" ht="45" x14ac:dyDescent="0.25">
      <c r="B10" s="10">
        <v>2</v>
      </c>
      <c r="C10" s="11" t="s">
        <v>7</v>
      </c>
      <c r="D10" s="11" t="s">
        <v>6</v>
      </c>
      <c r="E10" s="12">
        <f>SUM(F10:K10)</f>
        <v>1110852.0396</v>
      </c>
      <c r="F10" s="12">
        <f t="shared" ref="F10" si="1">SUM(F11:F12)</f>
        <v>202566.59960000002</v>
      </c>
      <c r="G10" s="12">
        <f t="shared" ref="G10" si="2">SUM(G11:G12)</f>
        <v>197740.43599999999</v>
      </c>
      <c r="H10" s="12">
        <f t="shared" ref="H10" si="3">SUM(H11:H12)</f>
        <v>359283.7</v>
      </c>
      <c r="I10" s="12">
        <f t="shared" ref="I10" si="4">SUM(I11:I12)</f>
        <v>351261.304</v>
      </c>
      <c r="J10" s="12">
        <f t="shared" ref="J10" si="5">SUM(J11:J12)</f>
        <v>0</v>
      </c>
      <c r="K10" s="13">
        <f t="shared" ref="K10" si="6">SUM(K11:K12)</f>
        <v>0</v>
      </c>
    </row>
    <row r="11" spans="2:11" ht="30" x14ac:dyDescent="0.25">
      <c r="B11" s="10"/>
      <c r="C11" s="11" t="s">
        <v>5</v>
      </c>
      <c r="D11" s="11"/>
      <c r="E11" s="12">
        <f>SUM(F11:K11)</f>
        <v>1005477</v>
      </c>
      <c r="F11" s="12">
        <v>167576</v>
      </c>
      <c r="G11" s="12">
        <v>167576</v>
      </c>
      <c r="H11" s="12">
        <v>335152</v>
      </c>
      <c r="I11" s="12">
        <v>335173</v>
      </c>
      <c r="J11" s="12">
        <v>0</v>
      </c>
      <c r="K11" s="13">
        <v>0</v>
      </c>
    </row>
    <row r="12" spans="2:11" ht="30" x14ac:dyDescent="0.25">
      <c r="B12" s="10"/>
      <c r="C12" s="14" t="s">
        <v>15</v>
      </c>
      <c r="D12" s="14"/>
      <c r="E12" s="12">
        <f>SUM(F12:K12)</f>
        <v>105375.0396</v>
      </c>
      <c r="F12" s="12">
        <f>(E11)*0.29%*12</f>
        <v>34990.599600000001</v>
      </c>
      <c r="G12" s="12">
        <f>(E11-F11)*0.3%*12</f>
        <v>30164.436000000002</v>
      </c>
      <c r="H12" s="12">
        <f>(E11-F11-G11)*0.3%*12</f>
        <v>24131.7</v>
      </c>
      <c r="I12" s="12">
        <f>(E11-F11-G11-H11)*0.4%*12</f>
        <v>16088.304</v>
      </c>
      <c r="J12" s="12">
        <f>(E11-F11-G11-H11-I11)*0.08%</f>
        <v>0</v>
      </c>
      <c r="K12" s="13">
        <f>(E11-F11-G11-H11-I11-J11)*0.08%</f>
        <v>0</v>
      </c>
    </row>
    <row r="13" spans="2:11" ht="45" x14ac:dyDescent="0.25">
      <c r="B13" s="10">
        <v>3</v>
      </c>
      <c r="C13" s="11" t="s">
        <v>8</v>
      </c>
      <c r="D13" s="11" t="s">
        <v>6</v>
      </c>
      <c r="E13" s="12">
        <f>SUM(F13:K13)</f>
        <v>622959.02315999998</v>
      </c>
      <c r="F13" s="12">
        <f t="shared" ref="F13" si="7">SUM(F14:F15)</f>
        <v>94198.317551999993</v>
      </c>
      <c r="G13" s="12">
        <f t="shared" ref="G13" si="8">SUM(G14:G15)</f>
        <v>93609.168479999993</v>
      </c>
      <c r="H13" s="12">
        <f t="shared" ref="H13" si="9">SUM(H14:H15)</f>
        <v>92627.253647999998</v>
      </c>
      <c r="I13" s="12">
        <f t="shared" ref="I13" si="10">SUM(I14:I15)</f>
        <v>89681.510880000002</v>
      </c>
      <c r="J13" s="12">
        <f t="shared" ref="J13" si="11">SUM(J14:J15)</f>
        <v>252842.7726</v>
      </c>
      <c r="K13" s="13">
        <f t="shared" ref="K13" si="12">SUM(K14:K15)</f>
        <v>-6.9849193096160895E-14</v>
      </c>
    </row>
    <row r="14" spans="2:11" ht="30" x14ac:dyDescent="0.25">
      <c r="B14" s="10"/>
      <c r="C14" s="11" t="s">
        <v>5</v>
      </c>
      <c r="D14" s="11"/>
      <c r="E14" s="12">
        <f>SUM(F14:K14)</f>
        <v>572783.22</v>
      </c>
      <c r="F14" s="12">
        <v>81826.2</v>
      </c>
      <c r="G14" s="12">
        <v>81826.2</v>
      </c>
      <c r="H14" s="12">
        <v>81826.2</v>
      </c>
      <c r="I14" s="12">
        <v>81826.2</v>
      </c>
      <c r="J14" s="12">
        <v>245478.42</v>
      </c>
      <c r="K14" s="13">
        <v>0</v>
      </c>
    </row>
    <row r="15" spans="2:11" ht="30" x14ac:dyDescent="0.25">
      <c r="B15" s="10"/>
      <c r="C15" s="14" t="s">
        <v>15</v>
      </c>
      <c r="D15" s="14"/>
      <c r="E15" s="12">
        <f>SUM(F15:K15)</f>
        <v>50175.803159999996</v>
      </c>
      <c r="F15" s="12">
        <f>(E14)*0.18%*12</f>
        <v>12372.117551999998</v>
      </c>
      <c r="G15" s="12">
        <f>(E14-F14)*0.2%*12</f>
        <v>11782.96848</v>
      </c>
      <c r="H15" s="12">
        <f>(E14-F14-G14)*0.22%*12</f>
        <v>10801.053647999999</v>
      </c>
      <c r="I15" s="12">
        <f>(E14-F14-G14-H14)*0.2%*12</f>
        <v>7855.3108799999991</v>
      </c>
      <c r="J15" s="12">
        <f>(E14-F14-G14-H14-I14)*0.25%*12</f>
        <v>7364.3525999999974</v>
      </c>
      <c r="K15" s="13">
        <f>(E14-F14-G14-H14-I14-J14)*0.08%</f>
        <v>-6.9849193096160895E-14</v>
      </c>
    </row>
    <row r="16" spans="2:11" ht="45" x14ac:dyDescent="0.25">
      <c r="B16" s="10">
        <v>4</v>
      </c>
      <c r="C16" s="11" t="s">
        <v>9</v>
      </c>
      <c r="D16" s="11" t="s">
        <v>6</v>
      </c>
      <c r="E16" s="12">
        <f>SUM(F16:K16)</f>
        <v>262655.19460000005</v>
      </c>
      <c r="F16" s="12">
        <f t="shared" ref="F16" si="13">SUM(F17:F18)</f>
        <v>45554.789600000004</v>
      </c>
      <c r="G16" s="12">
        <f t="shared" ref="G16" si="14">SUM(G17:G18)</f>
        <v>45167.671999999999</v>
      </c>
      <c r="H16" s="12">
        <f t="shared" ref="H16" si="15">SUM(H17:H18)</f>
        <v>44199.8</v>
      </c>
      <c r="I16" s="12">
        <f t="shared" ref="I16" si="16">SUM(I17:I18)</f>
        <v>43231.928</v>
      </c>
      <c r="J16" s="12">
        <f t="shared" ref="J16" si="17">SUM(J17:J18)</f>
        <v>42748.07</v>
      </c>
      <c r="K16" s="13">
        <f t="shared" ref="K16" si="18">SUM(K17:K18)</f>
        <v>41752.934999999998</v>
      </c>
    </row>
    <row r="17" spans="2:11" ht="30" x14ac:dyDescent="0.25">
      <c r="B17" s="10"/>
      <c r="C17" s="11" t="s">
        <v>5</v>
      </c>
      <c r="D17" s="11"/>
      <c r="E17" s="12">
        <f>SUM(F17:K17)</f>
        <v>241981</v>
      </c>
      <c r="F17" s="12">
        <v>40328</v>
      </c>
      <c r="G17" s="12">
        <v>40328</v>
      </c>
      <c r="H17" s="12">
        <v>40328</v>
      </c>
      <c r="I17" s="12">
        <v>40328</v>
      </c>
      <c r="J17" s="12">
        <v>40328</v>
      </c>
      <c r="K17" s="13">
        <v>40341</v>
      </c>
    </row>
    <row r="18" spans="2:11" ht="30" x14ac:dyDescent="0.25">
      <c r="B18" s="10"/>
      <c r="C18" s="14" t="s">
        <v>15</v>
      </c>
      <c r="D18" s="14"/>
      <c r="E18" s="12">
        <f>SUM(F18:K18)</f>
        <v>20674.194599999999</v>
      </c>
      <c r="F18" s="12">
        <f>(E17)*0.18%*12</f>
        <v>5226.7896000000001</v>
      </c>
      <c r="G18" s="12">
        <f>(E17-F17)*0.2%*12</f>
        <v>4839.6719999999996</v>
      </c>
      <c r="H18" s="12">
        <f>(E17-F17-G17)*0.2%*12</f>
        <v>3871.8</v>
      </c>
      <c r="I18" s="12">
        <f>(E17-F17-G17-H17)*0.2%*12</f>
        <v>2903.9279999999999</v>
      </c>
      <c r="J18" s="12">
        <f>(E17-F17-G17-H17-I17)*0.25%*12</f>
        <v>2420.0700000000002</v>
      </c>
      <c r="K18" s="13">
        <f>(E17-F17-G17-H17-I17-J17)*0.35%*10</f>
        <v>1411.9349999999997</v>
      </c>
    </row>
    <row r="19" spans="2:11" ht="30" x14ac:dyDescent="0.25">
      <c r="B19" s="10">
        <v>5</v>
      </c>
      <c r="C19" s="11" t="s">
        <v>10</v>
      </c>
      <c r="D19" s="11" t="s">
        <v>11</v>
      </c>
      <c r="E19" s="12">
        <f>SUM(F19:K19)</f>
        <v>236685.24559999999</v>
      </c>
      <c r="F19" s="12">
        <f t="shared" ref="F19" si="19">SUM(F20:F21)</f>
        <v>60342.993999999999</v>
      </c>
      <c r="G19" s="12">
        <f t="shared" ref="G19" si="20">SUM(G20:G21)</f>
        <v>59405.849600000001</v>
      </c>
      <c r="H19" s="12">
        <f t="shared" ref="H19" si="21">SUM(H20:H21)</f>
        <v>58651.561999999998</v>
      </c>
      <c r="I19" s="12">
        <f t="shared" ref="I19" si="22">SUM(I20:I21)</f>
        <v>58284.84</v>
      </c>
      <c r="J19" s="12">
        <f t="shared" ref="J19" si="23">SUM(J20:J21)</f>
        <v>0</v>
      </c>
      <c r="K19" s="13">
        <f t="shared" ref="K19" si="24">SUM(K20:K21)</f>
        <v>0</v>
      </c>
    </row>
    <row r="20" spans="2:11" ht="30" x14ac:dyDescent="0.25">
      <c r="B20" s="10"/>
      <c r="C20" s="11" t="s">
        <v>5</v>
      </c>
      <c r="D20" s="11"/>
      <c r="E20" s="12">
        <f>SUM(F20:K20)</f>
        <v>228571</v>
      </c>
      <c r="F20" s="12">
        <v>57143</v>
      </c>
      <c r="G20" s="12">
        <v>57143</v>
      </c>
      <c r="H20" s="12">
        <v>57143</v>
      </c>
      <c r="I20" s="12">
        <v>57142</v>
      </c>
      <c r="J20" s="12">
        <v>0</v>
      </c>
      <c r="K20" s="13">
        <v>0</v>
      </c>
    </row>
    <row r="21" spans="2:11" ht="30" x14ac:dyDescent="0.25">
      <c r="B21" s="10"/>
      <c r="C21" s="14" t="s">
        <v>15</v>
      </c>
      <c r="D21" s="14"/>
      <c r="E21" s="12">
        <f>SUM(F21:K21)</f>
        <v>8114.2456000000002</v>
      </c>
      <c r="F21" s="12">
        <f>(E20)*0.35%*4</f>
        <v>3199.9939999999997</v>
      </c>
      <c r="G21" s="12">
        <f>(E20-F20)*0.33%*4</f>
        <v>2262.8496</v>
      </c>
      <c r="H21" s="12">
        <f>(E20-F20-G20)*0.33%*4</f>
        <v>1508.5619999999999</v>
      </c>
      <c r="I21" s="12">
        <f>(E20-F20-G20-H20)*0.5%*4</f>
        <v>1142.8399999999999</v>
      </c>
      <c r="J21" s="12">
        <f>(E20-F20-G20-H20-I20)*0.08%</f>
        <v>0</v>
      </c>
      <c r="K21" s="13">
        <f>(E20-F20-G20-H20-I20-J20)*0.08%</f>
        <v>0</v>
      </c>
    </row>
    <row r="22" spans="2:11" ht="30" x14ac:dyDescent="0.25">
      <c r="B22" s="10">
        <v>6</v>
      </c>
      <c r="C22" s="11" t="s">
        <v>12</v>
      </c>
      <c r="D22" s="11" t="s">
        <v>11</v>
      </c>
      <c r="E22" s="12">
        <f>SUM(F22:K22)</f>
        <v>795500.65000000014</v>
      </c>
      <c r="F22" s="12">
        <f t="shared" ref="F22" si="25">SUM(F23:F24)</f>
        <v>147180.01999999999</v>
      </c>
      <c r="G22" s="12">
        <f t="shared" ref="G22" si="26">SUM(G23:G24)</f>
        <v>144925.37</v>
      </c>
      <c r="H22" s="12">
        <f t="shared" ref="H22" si="27">SUM(H23:H24)</f>
        <v>144417.26</v>
      </c>
      <c r="I22" s="12">
        <f t="shared" ref="I22" si="28">SUM(I23:I24)</f>
        <v>142999.45000000001</v>
      </c>
      <c r="J22" s="12">
        <f t="shared" ref="J22" si="29">SUM(J23:J24)</f>
        <v>104460.49</v>
      </c>
      <c r="K22" s="13">
        <f t="shared" ref="K22" si="30">SUM(K23:K24)</f>
        <v>111518.06</v>
      </c>
    </row>
    <row r="23" spans="2:11" ht="30" x14ac:dyDescent="0.25">
      <c r="B23" s="10"/>
      <c r="C23" s="11" t="s">
        <v>5</v>
      </c>
      <c r="D23" s="11"/>
      <c r="E23" s="12">
        <f>SUM(F23:K23)</f>
        <v>758928</v>
      </c>
      <c r="F23" s="12">
        <v>137500</v>
      </c>
      <c r="G23" s="12">
        <v>137499</v>
      </c>
      <c r="H23" s="12">
        <v>137499</v>
      </c>
      <c r="I23" s="12">
        <v>137500</v>
      </c>
      <c r="J23" s="12">
        <v>100000</v>
      </c>
      <c r="K23" s="13">
        <v>108930</v>
      </c>
    </row>
    <row r="24" spans="2:11" ht="30.75" thickBot="1" x14ac:dyDescent="0.3">
      <c r="B24" s="19"/>
      <c r="C24" s="14" t="s">
        <v>15</v>
      </c>
      <c r="D24" s="20"/>
      <c r="E24" s="21">
        <f>SUM(F24:K24)</f>
        <v>36572.65</v>
      </c>
      <c r="F24" s="21">
        <v>9680.02</v>
      </c>
      <c r="G24" s="21">
        <v>7426.37</v>
      </c>
      <c r="H24" s="21">
        <v>6918.26</v>
      </c>
      <c r="I24" s="21">
        <v>5499.45</v>
      </c>
      <c r="J24" s="21">
        <v>4460.49</v>
      </c>
      <c r="K24" s="22">
        <v>2588.06</v>
      </c>
    </row>
    <row r="25" spans="2:11" ht="28.5" customHeight="1" thickBot="1" x14ac:dyDescent="0.3">
      <c r="B25" s="24"/>
      <c r="C25" s="25" t="s">
        <v>13</v>
      </c>
      <c r="D25" s="25"/>
      <c r="E25" s="26">
        <f>SUM(F25:K25)</f>
        <v>3231617.7954560001</v>
      </c>
      <c r="F25" s="26">
        <f t="shared" ref="F25:K25" si="31">SUM(F26:F27)</f>
        <v>596322.08363200002</v>
      </c>
      <c r="G25" s="26">
        <f t="shared" si="31"/>
        <v>586321.08584000007</v>
      </c>
      <c r="H25" s="26">
        <f t="shared" si="31"/>
        <v>745004.53638400009</v>
      </c>
      <c r="I25" s="26">
        <f t="shared" si="31"/>
        <v>728918.07640000002</v>
      </c>
      <c r="J25" s="26">
        <f t="shared" si="31"/>
        <v>421781.01819999999</v>
      </c>
      <c r="K25" s="27">
        <f t="shared" si="31"/>
        <v>153270.995</v>
      </c>
    </row>
    <row r="26" spans="2:11" ht="30" x14ac:dyDescent="0.25">
      <c r="B26" s="7"/>
      <c r="C26" s="23" t="s">
        <v>5</v>
      </c>
      <c r="D26" s="28"/>
      <c r="E26" s="8">
        <f>SUM(F26:K26)</f>
        <v>2996510.3400000003</v>
      </c>
      <c r="F26" s="8">
        <f t="shared" ref="F26:K26" si="32">SUM(F8,F11,F14,F17,F20,F23,)</f>
        <v>526322.08000000007</v>
      </c>
      <c r="G26" s="8">
        <f t="shared" si="32"/>
        <v>526321.08000000007</v>
      </c>
      <c r="H26" s="8">
        <f t="shared" si="32"/>
        <v>693897.08000000007</v>
      </c>
      <c r="I26" s="8">
        <f t="shared" si="32"/>
        <v>693918.08000000007</v>
      </c>
      <c r="J26" s="8">
        <f t="shared" si="32"/>
        <v>406781.02</v>
      </c>
      <c r="K26" s="9">
        <f t="shared" si="32"/>
        <v>149271</v>
      </c>
    </row>
    <row r="27" spans="2:11" ht="30.75" thickBot="1" x14ac:dyDescent="0.3">
      <c r="B27" s="15"/>
      <c r="C27" s="14" t="s">
        <v>15</v>
      </c>
      <c r="D27" s="16"/>
      <c r="E27" s="17">
        <f>SUM(F27:K27)</f>
        <v>235107.455456</v>
      </c>
      <c r="F27" s="17">
        <f t="shared" ref="F27:K27" si="33">SUM(F9,F12,F15,F18,F21,F24)</f>
        <v>70000.003631999993</v>
      </c>
      <c r="G27" s="17">
        <f t="shared" si="33"/>
        <v>60000.005839999998</v>
      </c>
      <c r="H27" s="17">
        <f t="shared" si="33"/>
        <v>51107.456384000005</v>
      </c>
      <c r="I27" s="17">
        <f t="shared" si="33"/>
        <v>34999.996399999996</v>
      </c>
      <c r="J27" s="17">
        <f t="shared" si="33"/>
        <v>14999.998199999996</v>
      </c>
      <c r="K27" s="18">
        <f t="shared" si="33"/>
        <v>3999.9949999999999</v>
      </c>
    </row>
    <row r="28" spans="2:11" ht="15.75" thickTop="1" x14ac:dyDescent="0.25">
      <c r="C28" s="1"/>
      <c r="D28" s="2"/>
    </row>
    <row r="29" spans="2:11" x14ac:dyDescent="0.25">
      <c r="C29" s="2"/>
      <c r="D29" s="2"/>
    </row>
  </sheetData>
  <mergeCells count="7">
    <mergeCell ref="C5:C6"/>
    <mergeCell ref="D5:D6"/>
    <mergeCell ref="H1:K1"/>
    <mergeCell ref="E3:I3"/>
    <mergeCell ref="F5:K5"/>
    <mergeCell ref="E5:E6"/>
    <mergeCell ref="D2:I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2016-10-10T11:13:17Z</cp:lastPrinted>
  <dcterms:created xsi:type="dcterms:W3CDTF">2015-10-15T12:06:05Z</dcterms:created>
  <dcterms:modified xsi:type="dcterms:W3CDTF">2016-10-10T11:14:30Z</dcterms:modified>
</cp:coreProperties>
</file>